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externalReferences>
    <externalReference r:id="rId11"/>
  </externalReferences>
  <definedNames>
    <definedName name="_xlnm.Print_Area" localSheetId="7">'січень'!$A$1:$R$87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<sst xmlns="http://schemas.openxmlformats.org/spreadsheetml/2006/main" count="1024" uniqueCount="187">
  <si>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</si>
  <si>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</si>
  <si>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</si>
  <si>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</si>
  <si>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</si>
  <si>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</si>
  <si>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</si>
  <si>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</si>
  <si>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</si>
  <si>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</si>
  <si>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</si>
  <si>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</si>
  <si>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</si>
  <si>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</si>
  <si>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</si>
  <si>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</si>
  <si>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</si>
  <si>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</si>
  <si>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</si>
  <si>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</si>
  <si>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</si>
  <si>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</si>
  <si>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</si>
  <si>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</si>
  <si>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</si>
  <si>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</si>
  <si>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</si>
  <si>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</si>
  <si>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</si>
  <si>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</si>
  <si>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</si>
  <si>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</si>
  <si>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</si>
  <si>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</si>
  <si>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</si>
  <si>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</si>
  <si>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</si>
  <si>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</si>
  <si>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</si>
  <si>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</si>
  <si>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</si>
  <si>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</si>
  <si>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</si>
  <si>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</si>
  <si>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</si>
  <si>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</si>
  <si>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</si>
  <si>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</si>
  <si>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</si>
  <si>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</si>
  <si>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</si>
  <si>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</si>
  <si>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</si>
  <si>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</si>
  <si>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</si>
  <si>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</si>
  <si>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</si>
  <si>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</si>
  <si>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</si>
  <si>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</si>
  <si>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</si>
  <si>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</si>
  <si>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</si>
  <si>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</si>
  <si>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</si>
  <si>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</si>
  <si>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</si>
  <si>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</si>
  <si>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</si>
  <si>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</si>
  <si>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</si>
  <si>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</si>
  <si>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</si>
  <si>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</si>
  <si>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</si>
  <si>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</si>
  <si>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</si>
  <si>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</si>
  <si>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</si>
  <si>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</si>
  <si>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</si>
  <si>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</si>
  <si>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</si>
  <si>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</si>
  <si>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</si>
  <si>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</si>
  <si>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</si>
  <si>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</si>
  <si>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</si>
  <si>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</si>
  <si>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</si>
  <si>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</si>
  <si>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</si>
  <si>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</si>
  <si>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</si>
  <si>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</si>
  <si>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</si>
  <si>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</si>
  <si>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</si>
  <si>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</si>
  <si>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</si>
  <si>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</si>
  <si>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</si>
  <si>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</si>
  <si>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</si>
  <si>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</si>
  <si>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</si>
  <si>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</si>
  <si>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</si>
  <si>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</si>
  <si>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</si>
  <si>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</si>
  <si>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</si>
  <si>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</si>
  <si>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</si>
  <si>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</si>
  <si>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</si>
  <si>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</si>
  <si>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</si>
  <si>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</si>
  <si>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</si>
  <si>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</si>
  <si>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</si>
  <si>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</si>
  <si>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</si>
  <si>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</si>
  <si>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</si>
  <si>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</si>
  <si>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</si>
  <si>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</si>
  <si>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</si>
  <si>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</si>
  <si>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</si>
  <si>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</si>
  <si>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</si>
  <si>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</si>
  <si>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</si>
  <si>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</si>
  <si>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</si>
  <si>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</si>
  <si>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</si>
  <si>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</si>
  <si>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</si>
  <si>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</si>
  <si>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</si>
  <si>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</si>
  <si>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</si>
  <si>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</si>
  <si>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</si>
  <si>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</si>
  <si>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</si>
  <si>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</si>
  <si>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</si>
  <si>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</si>
  <si>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</si>
  <si>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</si>
  <si>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</si>
  <si>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</si>
  <si>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</si>
  <si>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</si>
  <si>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</si>
  <si>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</si>
  <si>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</si>
  <si>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</si>
  <si>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</si>
  <si>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</si>
  <si>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</si>
  <si>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</si>
  <si>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</si>
  <si>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</si>
  <si>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</si>
  <si>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</si>
  <si>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</si>
  <si>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</si>
  <si>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</si>
  <si>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</si>
  <si>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</si>
  <si>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</si>
  <si>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</si>
  <si>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</si>
  <si>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</si>
  <si>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</si>
  <si>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</si>
  <si>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</si>
  <si>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</si>
  <si>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02.07.2016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</si>
  <si>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01.07.16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</si>
</sst>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3826018.82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43" sqref="D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185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49"/>
      <c r="C2" s="249"/>
      <c r="D2" s="249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183</v>
      </c>
      <c r="N3" s="261" t="s">
        <v>184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179</v>
      </c>
      <c r="F4" s="264" t="s">
        <v>34</v>
      </c>
      <c r="G4" s="266" t="s">
        <v>180</v>
      </c>
      <c r="H4" s="259" t="s">
        <v>181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186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67.5" customHeight="1">
      <c r="A5" s="251"/>
      <c r="B5" s="252"/>
      <c r="C5" s="253"/>
      <c r="D5" s="254"/>
      <c r="E5" s="263"/>
      <c r="F5" s="265"/>
      <c r="G5" s="267"/>
      <c r="H5" s="260"/>
      <c r="I5" s="267"/>
      <c r="J5" s="260"/>
      <c r="K5" s="271" t="s">
        <v>182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462914.95999999996</v>
      </c>
      <c r="G8" s="191">
        <f aca="true" t="shared" si="0" ref="G8:G36">F8-E8</f>
        <v>-36621.320000000065</v>
      </c>
      <c r="H8" s="192">
        <f>F8/E8*100</f>
        <v>92.66893687881887</v>
      </c>
      <c r="I8" s="193">
        <f>F8-D8</f>
        <v>-378135.04000000004</v>
      </c>
      <c r="J8" s="193">
        <f>F8/D8*100</f>
        <v>55.04012365495511</v>
      </c>
      <c r="K8" s="191">
        <f>F8-366772.22</f>
        <v>96142.73999999999</v>
      </c>
      <c r="L8" s="191">
        <f>F8/366722.22*100</f>
        <v>126.2304094908675</v>
      </c>
      <c r="M8" s="191">
        <f>M9+M15+M18+M19+M20+M17</f>
        <v>79300.50000000003</v>
      </c>
      <c r="N8" s="191">
        <f>N9+N15+N18+N19+N20+N17</f>
        <v>-2596.4700000000157</v>
      </c>
      <c r="O8" s="191">
        <f>N8-M8</f>
        <v>-81896.97000000004</v>
      </c>
      <c r="P8" s="191">
        <f>N8/M8*100</f>
        <v>-3.2742164299090355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258214.56</v>
      </c>
      <c r="G9" s="190">
        <f t="shared" si="0"/>
        <v>-5509.710000000021</v>
      </c>
      <c r="H9" s="197">
        <f>F9/E9*100</f>
        <v>97.91080661631938</v>
      </c>
      <c r="I9" s="198">
        <f>F9-D9</f>
        <v>-201485.44</v>
      </c>
      <c r="J9" s="198">
        <f>F9/D9*100</f>
        <v>56.17023276049598</v>
      </c>
      <c r="K9" s="199">
        <f>F9-203434.44</f>
        <v>54780.119999999995</v>
      </c>
      <c r="L9" s="199">
        <f>F9/203434.44*100</f>
        <v>126.92765295787673</v>
      </c>
      <c r="M9" s="197">
        <f>E9-червень!E9</f>
        <v>39820.00000000003</v>
      </c>
      <c r="N9" s="200">
        <f>F9-червень!F9</f>
        <v>-3227.9800000000105</v>
      </c>
      <c r="O9" s="201">
        <f>N9-M9</f>
        <v>-43047.98000000004</v>
      </c>
      <c r="P9" s="198">
        <f>N9/M9*100</f>
        <v>-8.106428930185857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227989.85</v>
      </c>
      <c r="G10" s="109">
        <f t="shared" si="0"/>
        <v>-6025.989999999991</v>
      </c>
      <c r="H10" s="32">
        <f aca="true" t="shared" si="1" ref="H10:H35">F10/E10*100</f>
        <v>97.42496490835835</v>
      </c>
      <c r="I10" s="110">
        <f aca="true" t="shared" si="2" ref="I10:I36">F10-D10</f>
        <v>-183450.15</v>
      </c>
      <c r="J10" s="110">
        <f aca="true" t="shared" si="3" ref="J10:J35">F10/D10*100</f>
        <v>55.41266041221077</v>
      </c>
      <c r="K10" s="112">
        <f>F10-180069.97</f>
        <v>47919.880000000005</v>
      </c>
      <c r="L10" s="112">
        <f>F10/180069.97*100</f>
        <v>126.61181095326444</v>
      </c>
      <c r="M10" s="111">
        <f>E10-червень!E10</f>
        <v>34720</v>
      </c>
      <c r="N10" s="179">
        <f>F10-червень!F10</f>
        <v>-3278.5599999999977</v>
      </c>
      <c r="O10" s="112">
        <f aca="true" t="shared" si="4" ref="O10:O36">N10-M10</f>
        <v>-37998.56</v>
      </c>
      <c r="P10" s="198">
        <f aca="true" t="shared" si="5" ref="P10:P16">N10/M10*100</f>
        <v>-9.442857142857136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18032.25</v>
      </c>
      <c r="G11" s="109">
        <f t="shared" si="0"/>
        <v>2117.3099999999995</v>
      </c>
      <c r="H11" s="32">
        <f t="shared" si="1"/>
        <v>113.30391443511567</v>
      </c>
      <c r="I11" s="110">
        <f t="shared" si="2"/>
        <v>-4967.75</v>
      </c>
      <c r="J11" s="110">
        <f t="shared" si="3"/>
        <v>78.40108695652174</v>
      </c>
      <c r="K11" s="112">
        <f>F11-10791.39</f>
        <v>7240.860000000001</v>
      </c>
      <c r="L11" s="112">
        <f>F11/10791.39*100</f>
        <v>167.09849240922625</v>
      </c>
      <c r="M11" s="111">
        <f>E11-червень!E11</f>
        <v>1750</v>
      </c>
      <c r="N11" s="179">
        <f>F11-червень!F11</f>
        <v>0</v>
      </c>
      <c r="O11" s="112">
        <f t="shared" si="4"/>
        <v>-1750</v>
      </c>
      <c r="P11" s="198">
        <f t="shared" si="5"/>
        <v>0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5319.77</v>
      </c>
      <c r="G12" s="109">
        <f t="shared" si="0"/>
        <v>2049.1600000000003</v>
      </c>
      <c r="H12" s="32">
        <f t="shared" si="1"/>
        <v>162.65375572140977</v>
      </c>
      <c r="I12" s="110">
        <f t="shared" si="2"/>
        <v>-1180.2299999999996</v>
      </c>
      <c r="J12" s="110">
        <f t="shared" si="3"/>
        <v>81.84261538461539</v>
      </c>
      <c r="K12" s="112">
        <f>F12-3052.92</f>
        <v>2266.8500000000004</v>
      </c>
      <c r="L12" s="112">
        <f>F12/3052.92*100</f>
        <v>174.2518637894213</v>
      </c>
      <c r="M12" s="111">
        <f>E12-червень!E12</f>
        <v>550</v>
      </c>
      <c r="N12" s="179">
        <f>F12-червень!F12</f>
        <v>31.110000000000582</v>
      </c>
      <c r="O12" s="112">
        <f t="shared" si="4"/>
        <v>-518.8899999999994</v>
      </c>
      <c r="P12" s="198">
        <f t="shared" si="5"/>
        <v>5.656363636363742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4472.08</v>
      </c>
      <c r="G13" s="109">
        <f t="shared" si="0"/>
        <v>-2292.76</v>
      </c>
      <c r="H13" s="32">
        <f t="shared" si="1"/>
        <v>66.10769803868236</v>
      </c>
      <c r="I13" s="110">
        <f t="shared" si="2"/>
        <v>-7927.92</v>
      </c>
      <c r="J13" s="110">
        <f t="shared" si="3"/>
        <v>36.06516129032258</v>
      </c>
      <c r="K13" s="112">
        <f>F13-4060.02</f>
        <v>412.05999999999995</v>
      </c>
      <c r="L13" s="112">
        <f>F13/4060.02*100</f>
        <v>110.14921108763012</v>
      </c>
      <c r="M13" s="111">
        <f>E13-червень!E13</f>
        <v>2180</v>
      </c>
      <c r="N13" s="179">
        <f>F13-червень!F13</f>
        <v>19.470000000000255</v>
      </c>
      <c r="O13" s="112">
        <f t="shared" si="4"/>
        <v>-2160.5299999999997</v>
      </c>
      <c r="P13" s="198">
        <f t="shared" si="5"/>
        <v>0.8931192660550575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2400.61</v>
      </c>
      <c r="G14" s="109">
        <f t="shared" si="0"/>
        <v>-1357.4299999999998</v>
      </c>
      <c r="H14" s="32">
        <f t="shared" si="1"/>
        <v>63.87930942725464</v>
      </c>
      <c r="I14" s="110">
        <f t="shared" si="2"/>
        <v>-3959.39</v>
      </c>
      <c r="J14" s="110">
        <f t="shared" si="3"/>
        <v>37.745440251572326</v>
      </c>
      <c r="K14" s="112">
        <f>F14-5460.12</f>
        <v>-3059.5099999999998</v>
      </c>
      <c r="L14" s="112">
        <f>F14/5460.12*100</f>
        <v>43.96624982601116</v>
      </c>
      <c r="M14" s="111">
        <f>E14-червень!E14</f>
        <v>620</v>
      </c>
      <c r="N14" s="179">
        <f>F14-червень!F14</f>
        <v>0</v>
      </c>
      <c r="O14" s="112">
        <f t="shared" si="4"/>
        <v>-620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44512.07</v>
      </c>
      <c r="G19" s="190">
        <f t="shared" si="0"/>
        <v>-14248.330000000002</v>
      </c>
      <c r="H19" s="197">
        <f t="shared" si="1"/>
        <v>75.7518158487689</v>
      </c>
      <c r="I19" s="198">
        <f t="shared" si="2"/>
        <v>-65387.93</v>
      </c>
      <c r="J19" s="198">
        <f t="shared" si="3"/>
        <v>40.502338489535944</v>
      </c>
      <c r="K19" s="209">
        <f>F19-30116.49</f>
        <v>14395.579999999998</v>
      </c>
      <c r="L19" s="209">
        <f>F19/30116.49*100</f>
        <v>147.7996605846166</v>
      </c>
      <c r="M19" s="197">
        <f>E19-червень!E19</f>
        <v>10900</v>
      </c>
      <c r="N19" s="200">
        <f>F19-червень!F19</f>
        <v>0.05000000000291038</v>
      </c>
      <c r="O19" s="201">
        <f t="shared" si="4"/>
        <v>-10899.949999999997</v>
      </c>
      <c r="P19" s="198">
        <f aca="true" t="shared" si="6" ref="P19:P24">N19/M19*100</f>
        <v>0.00045871559635697596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159773.12</v>
      </c>
      <c r="G20" s="190">
        <f t="shared" si="0"/>
        <v>-17018.48999999999</v>
      </c>
      <c r="H20" s="197">
        <f t="shared" si="1"/>
        <v>90.37370042616841</v>
      </c>
      <c r="I20" s="198">
        <f t="shared" si="2"/>
        <v>-111166.88</v>
      </c>
      <c r="J20" s="198">
        <f t="shared" si="3"/>
        <v>58.969926921089545</v>
      </c>
      <c r="K20" s="198">
        <f>F20-100444.36</f>
        <v>59328.759999999995</v>
      </c>
      <c r="L20" s="198">
        <f>F20/100444.36*100</f>
        <v>159.06629302033483</v>
      </c>
      <c r="M20" s="197">
        <f>M21+M29+M30+M31</f>
        <v>28570.5</v>
      </c>
      <c r="N20" s="200">
        <f>F20-червень!F20</f>
        <v>631.4599999999919</v>
      </c>
      <c r="O20" s="201">
        <f t="shared" si="4"/>
        <v>-27939.040000000008</v>
      </c>
      <c r="P20" s="198">
        <f t="shared" si="6"/>
        <v>2.210181830909476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86302.84</v>
      </c>
      <c r="G21" s="190">
        <f t="shared" si="0"/>
        <v>-10305.820000000007</v>
      </c>
      <c r="H21" s="197">
        <f t="shared" si="1"/>
        <v>89.33240560421808</v>
      </c>
      <c r="I21" s="198">
        <f t="shared" si="2"/>
        <v>-75097.16</v>
      </c>
      <c r="J21" s="198">
        <f t="shared" si="3"/>
        <v>53.47140024783147</v>
      </c>
      <c r="K21" s="198">
        <f>F21-54757.32</f>
        <v>31545.519999999997</v>
      </c>
      <c r="L21" s="198">
        <f>F21/54757.32*100</f>
        <v>157.6096857917809</v>
      </c>
      <c r="M21" s="197">
        <f>M22+M25+M26</f>
        <v>18465.3</v>
      </c>
      <c r="N21" s="200">
        <f>F21-червень!F21</f>
        <v>308.4499999999971</v>
      </c>
      <c r="O21" s="201">
        <f t="shared" si="4"/>
        <v>-18156.850000000002</v>
      </c>
      <c r="P21" s="198">
        <f t="shared" si="6"/>
        <v>1.6704304831223815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9264.9</v>
      </c>
      <c r="G22" s="212">
        <f t="shared" si="0"/>
        <v>-3326.7000000000007</v>
      </c>
      <c r="H22" s="214">
        <f t="shared" si="1"/>
        <v>73.58000571809778</v>
      </c>
      <c r="I22" s="215">
        <f t="shared" si="2"/>
        <v>-9235.1</v>
      </c>
      <c r="J22" s="215">
        <f t="shared" si="3"/>
        <v>50.08054054054054</v>
      </c>
      <c r="K22" s="216">
        <f>F22-4957.1</f>
        <v>4307.799999999999</v>
      </c>
      <c r="L22" s="216">
        <f>F22/4957.1*100</f>
        <v>186.90161586411406</v>
      </c>
      <c r="M22" s="214">
        <f>E22-червень!E22</f>
        <v>3980</v>
      </c>
      <c r="N22" s="217">
        <f>F22-червень!F22</f>
        <v>31.30999999999949</v>
      </c>
      <c r="O22" s="218">
        <f t="shared" si="4"/>
        <v>-3948.6900000000005</v>
      </c>
      <c r="P22" s="215">
        <f t="shared" si="6"/>
        <v>0.7866834170854143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346.97</v>
      </c>
      <c r="G23" s="241">
        <f t="shared" si="0"/>
        <v>-342.13</v>
      </c>
      <c r="H23" s="242">
        <f t="shared" si="1"/>
        <v>50.35118270207517</v>
      </c>
      <c r="I23" s="243">
        <f t="shared" si="2"/>
        <v>-1653.03</v>
      </c>
      <c r="J23" s="243">
        <f t="shared" si="3"/>
        <v>17.3485</v>
      </c>
      <c r="K23" s="244">
        <f>F23-284.18</f>
        <v>62.79000000000002</v>
      </c>
      <c r="L23" s="244">
        <f>F23/284.18*100</f>
        <v>122.09515096065874</v>
      </c>
      <c r="M23" s="239">
        <f>E23-червень!E23</f>
        <v>300</v>
      </c>
      <c r="N23" s="239">
        <f>F23-червень!F23</f>
        <v>4.8700000000000045</v>
      </c>
      <c r="O23" s="240">
        <f t="shared" si="4"/>
        <v>-295.13</v>
      </c>
      <c r="P23" s="240">
        <f t="shared" si="6"/>
        <v>1.6233333333333348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8917.92</v>
      </c>
      <c r="G24" s="241">
        <f t="shared" si="0"/>
        <v>-2984.58</v>
      </c>
      <c r="H24" s="242">
        <f t="shared" si="1"/>
        <v>74.92476370510397</v>
      </c>
      <c r="I24" s="243">
        <f t="shared" si="2"/>
        <v>-7582.08</v>
      </c>
      <c r="J24" s="243">
        <f t="shared" si="3"/>
        <v>54.047999999999995</v>
      </c>
      <c r="K24" s="244">
        <f>F24-4672.92</f>
        <v>4245</v>
      </c>
      <c r="L24" s="244">
        <f>F24/4672.92*100</f>
        <v>190.84255668832336</v>
      </c>
      <c r="M24" s="239">
        <f>E24-червень!E24</f>
        <v>3680</v>
      </c>
      <c r="N24" s="239">
        <f>F24-червень!F24</f>
        <v>26.43000000000029</v>
      </c>
      <c r="O24" s="240">
        <f t="shared" si="4"/>
        <v>-3653.5699999999997</v>
      </c>
      <c r="P24" s="240">
        <f t="shared" si="6"/>
        <v>0.7182065217391383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435.05</v>
      </c>
      <c r="G25" s="212">
        <f t="shared" si="0"/>
        <v>-258.09</v>
      </c>
      <c r="H25" s="214">
        <f t="shared" si="1"/>
        <v>62.765097960008084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E25-червень!E25</f>
        <v>416.3</v>
      </c>
      <c r="N25" s="217">
        <f>F25-червень!F25</f>
        <v>0</v>
      </c>
      <c r="O25" s="218">
        <f t="shared" si="4"/>
        <v>-416.3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76602.89</v>
      </c>
      <c r="G26" s="212">
        <f t="shared" si="0"/>
        <v>-6721.029999999999</v>
      </c>
      <c r="H26" s="214">
        <f t="shared" si="1"/>
        <v>91.93385284801772</v>
      </c>
      <c r="I26" s="215">
        <f t="shared" si="2"/>
        <v>-63497.11</v>
      </c>
      <c r="J26" s="215">
        <f t="shared" si="3"/>
        <v>54.67729478943612</v>
      </c>
      <c r="K26" s="216">
        <f>F26-49589.53</f>
        <v>27013.36</v>
      </c>
      <c r="L26" s="216">
        <f>F26/49589.53*100</f>
        <v>154.47391818393922</v>
      </c>
      <c r="M26" s="214">
        <f>E26-червень!E26</f>
        <v>14069</v>
      </c>
      <c r="N26" s="217">
        <f>F26-червень!F26</f>
        <v>277.1399999999994</v>
      </c>
      <c r="O26" s="218">
        <f t="shared" si="4"/>
        <v>-13791.86</v>
      </c>
      <c r="P26" s="215">
        <f>N26/M26*100</f>
        <v>1.969862818963675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23828.98</v>
      </c>
      <c r="G27" s="241">
        <f t="shared" si="0"/>
        <v>-135.77000000000044</v>
      </c>
      <c r="H27" s="242">
        <f t="shared" si="1"/>
        <v>99.433459560396</v>
      </c>
      <c r="I27" s="243">
        <f t="shared" si="2"/>
        <v>-14228.02</v>
      </c>
      <c r="J27" s="243">
        <f t="shared" si="3"/>
        <v>62.613921223428015</v>
      </c>
      <c r="K27" s="244">
        <f>F27-12926</f>
        <v>10902.98</v>
      </c>
      <c r="L27" s="244">
        <f>F27/12926*100</f>
        <v>184.3492186291196</v>
      </c>
      <c r="M27" s="239">
        <f>E27-червень!E27</f>
        <v>4535</v>
      </c>
      <c r="N27" s="239">
        <f>F27-червень!F27</f>
        <v>92.13000000000102</v>
      </c>
      <c r="O27" s="240">
        <f t="shared" si="4"/>
        <v>-4442.869999999999</v>
      </c>
      <c r="P27" s="240">
        <f>N27/M27*100</f>
        <v>2.031532524807079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52773.91</v>
      </c>
      <c r="G28" s="241">
        <f t="shared" si="0"/>
        <v>-6585.259999999995</v>
      </c>
      <c r="H28" s="242">
        <f t="shared" si="1"/>
        <v>88.90607803309919</v>
      </c>
      <c r="I28" s="243">
        <f t="shared" si="2"/>
        <v>42730.91</v>
      </c>
      <c r="J28" s="243">
        <f t="shared" si="3"/>
        <v>525.4795379866574</v>
      </c>
      <c r="K28" s="244">
        <f>F28-36663.53</f>
        <v>16110.380000000005</v>
      </c>
      <c r="L28" s="244">
        <f>F28/36663.53*100</f>
        <v>143.94115896641705</v>
      </c>
      <c r="M28" s="239">
        <f>E28-червень!E28</f>
        <v>9534</v>
      </c>
      <c r="N28" s="239">
        <f>F28-червень!F28</f>
        <v>185.02000000000407</v>
      </c>
      <c r="O28" s="240">
        <f t="shared" si="4"/>
        <v>-9348.979999999996</v>
      </c>
      <c r="P28" s="240">
        <f>N28/M28*100</f>
        <v>1.9406335221313624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-126.28</v>
      </c>
      <c r="G30" s="190">
        <f t="shared" si="0"/>
        <v>-126.28</v>
      </c>
      <c r="H30" s="197"/>
      <c r="I30" s="198">
        <f t="shared" si="2"/>
        <v>-126.28</v>
      </c>
      <c r="J30" s="198"/>
      <c r="K30" s="198">
        <f>F30-(-403.36)</f>
        <v>277.08000000000004</v>
      </c>
      <c r="L30" s="198">
        <f>F30/(-403.36)*100</f>
        <v>31.307021023403408</v>
      </c>
      <c r="M30" s="197">
        <f>E30-червень!E30</f>
        <v>0</v>
      </c>
      <c r="N30" s="200">
        <f>F30-червень!F30</f>
        <v>-1.2399999999999949</v>
      </c>
      <c r="O30" s="201">
        <f t="shared" si="4"/>
        <v>-1.2399999999999949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73540.94</v>
      </c>
      <c r="G31" s="202">
        <f t="shared" si="0"/>
        <v>-6601.099999999991</v>
      </c>
      <c r="H31" s="204">
        <f t="shared" si="1"/>
        <v>91.76324935077771</v>
      </c>
      <c r="I31" s="205">
        <f t="shared" si="2"/>
        <v>-35922.06</v>
      </c>
      <c r="J31" s="205">
        <f t="shared" si="3"/>
        <v>67.18337703150836</v>
      </c>
      <c r="K31" s="219">
        <f>F31-46052.97</f>
        <v>27487.97</v>
      </c>
      <c r="L31" s="219">
        <f>F31/46052.97*100</f>
        <v>159.68772480906225</v>
      </c>
      <c r="M31" s="197">
        <f>E31-червень!E31</f>
        <v>10100</v>
      </c>
      <c r="N31" s="200">
        <f>F31-червень!F31</f>
        <v>324.25</v>
      </c>
      <c r="O31" s="207">
        <f t="shared" si="4"/>
        <v>-9775.75</v>
      </c>
      <c r="P31" s="205">
        <f>N31/M31*100</f>
        <v>3.2103960396039604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E32-червень!E32</f>
        <v>0</v>
      </c>
      <c r="N32" s="179">
        <f>F32-червень!F32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18346.62</v>
      </c>
      <c r="G33" s="109">
        <f t="shared" si="0"/>
        <v>-1349.3500000000022</v>
      </c>
      <c r="H33" s="111">
        <f t="shared" si="1"/>
        <v>93.1491061369407</v>
      </c>
      <c r="I33" s="110">
        <f t="shared" si="2"/>
        <v>-9253.380000000001</v>
      </c>
      <c r="J33" s="110">
        <f t="shared" si="3"/>
        <v>66.47326086956521</v>
      </c>
      <c r="K33" s="142">
        <f>F33-11423.16</f>
        <v>6923.459999999999</v>
      </c>
      <c r="L33" s="142">
        <f>F33/11423.16*100</f>
        <v>160.60897334888068</v>
      </c>
      <c r="M33" s="111">
        <f>E33-червень!E33</f>
        <v>2000</v>
      </c>
      <c r="N33" s="179">
        <f>F33-червень!F33</f>
        <v>33.55999999999767</v>
      </c>
      <c r="O33" s="112">
        <f t="shared" si="4"/>
        <v>-1966.4400000000023</v>
      </c>
      <c r="P33" s="110">
        <f>N33/M33*100</f>
        <v>1.6779999999998838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55180.13</v>
      </c>
      <c r="G34" s="109">
        <f t="shared" si="0"/>
        <v>-5255.950000000004</v>
      </c>
      <c r="H34" s="111">
        <f t="shared" si="1"/>
        <v>91.30329101424182</v>
      </c>
      <c r="I34" s="110">
        <f t="shared" si="2"/>
        <v>-26631.870000000003</v>
      </c>
      <c r="J34" s="110">
        <f t="shared" si="3"/>
        <v>67.44747714271745</v>
      </c>
      <c r="K34" s="142">
        <f>F34-34622.85</f>
        <v>20557.28</v>
      </c>
      <c r="L34" s="142">
        <f>F34/34622.85*100</f>
        <v>159.37489259260863</v>
      </c>
      <c r="M34" s="111">
        <f>E34-червень!E34</f>
        <v>8100</v>
      </c>
      <c r="N34" s="179">
        <f>F34-червень!F34</f>
        <v>290.6800000000003</v>
      </c>
      <c r="O34" s="112">
        <f t="shared" si="4"/>
        <v>-7809.32</v>
      </c>
      <c r="P34" s="110">
        <f>N34/M34*100</f>
        <v>3.588641975308646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32703.50999999999</v>
      </c>
      <c r="G37" s="191">
        <f>G38+G39+G40+G41+G42+G44+G46+G47+G48+G49+G50+G55+G56+G60</f>
        <v>7543.880000000004</v>
      </c>
      <c r="H37" s="192">
        <f>F37/E37*100</f>
        <v>130.05436643478114</v>
      </c>
      <c r="I37" s="193">
        <f>F37-D37</f>
        <v>-10116.490000000009</v>
      </c>
      <c r="J37" s="193">
        <f>F37/D37*100</f>
        <v>76.37438113031291</v>
      </c>
      <c r="K37" s="191">
        <f>F37-15873</f>
        <v>16830.50999999999</v>
      </c>
      <c r="L37" s="191">
        <f>F37/15873*100</f>
        <v>206.03231903231895</v>
      </c>
      <c r="M37" s="191">
        <f>M38+M39+M40+M41+M42+M44+M46+M47+M48+M49+M50+M55+M56+M60</f>
        <v>3647.9999999999995</v>
      </c>
      <c r="N37" s="191">
        <f>N38+N39+N40+N41+N42+N44+N46+N47+N48+N49+N50+N55+N56+N60+N43</f>
        <v>3442.8600000000006</v>
      </c>
      <c r="O37" s="191">
        <f>O38+O39+O40+O41+O42+O44+O46+O47+O48+O49+O50+O55+O56+O60</f>
        <v>-205.13999999999874</v>
      </c>
      <c r="P37" s="191">
        <f>N37/M37*100</f>
        <v>94.37664473684212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61.03</v>
      </c>
      <c r="G42" s="202">
        <f t="shared" si="9"/>
        <v>-8.969999999999999</v>
      </c>
      <c r="H42" s="204">
        <f t="shared" si="7"/>
        <v>87.18571428571428</v>
      </c>
      <c r="I42" s="205">
        <f t="shared" si="10"/>
        <v>-88.97</v>
      </c>
      <c r="J42" s="205">
        <f t="shared" si="12"/>
        <v>40.68666666666667</v>
      </c>
      <c r="K42" s="205">
        <f>F42-81.62</f>
        <v>-20.590000000000003</v>
      </c>
      <c r="L42" s="205">
        <f>F42/81.62*100</f>
        <v>74.77333986767948</v>
      </c>
      <c r="M42" s="204">
        <f>E42-червень!E42</f>
        <v>10</v>
      </c>
      <c r="N42" s="208">
        <f>F42-червень!F42</f>
        <v>0.060000000000002274</v>
      </c>
      <c r="O42" s="207">
        <f t="shared" si="11"/>
        <v>-9.939999999999998</v>
      </c>
      <c r="P42" s="205">
        <f t="shared" si="8"/>
        <v>0.6000000000000227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E43-червень!E43</f>
        <v>0</v>
      </c>
      <c r="N43" s="208">
        <f>F43-червень!F43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173.69</v>
      </c>
      <c r="G44" s="202">
        <f t="shared" si="9"/>
        <v>125.69</v>
      </c>
      <c r="H44" s="204">
        <f t="shared" si="7"/>
        <v>361.8541666666667</v>
      </c>
      <c r="I44" s="205">
        <f t="shared" si="10"/>
        <v>83.69</v>
      </c>
      <c r="J44" s="205">
        <f t="shared" si="12"/>
        <v>192.98888888888888</v>
      </c>
      <c r="K44" s="205">
        <f>F44-0</f>
        <v>173.69</v>
      </c>
      <c r="L44" s="205"/>
      <c r="M44" s="204">
        <f>E44-червень!E44</f>
        <v>8</v>
      </c>
      <c r="N44" s="208">
        <f>F44-червень!F44</f>
        <v>5.609999999999985</v>
      </c>
      <c r="O44" s="207">
        <f t="shared" si="11"/>
        <v>-2.390000000000015</v>
      </c>
      <c r="P44" s="205">
        <f t="shared" si="8"/>
        <v>70.12499999999982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5031.67</v>
      </c>
      <c r="G46" s="202">
        <f t="shared" si="9"/>
        <v>-307.35000000000036</v>
      </c>
      <c r="H46" s="204">
        <f t="shared" si="7"/>
        <v>94.2433255541279</v>
      </c>
      <c r="I46" s="205">
        <f t="shared" si="10"/>
        <v>-4868.33</v>
      </c>
      <c r="J46" s="205">
        <f t="shared" si="12"/>
        <v>50.8249494949495</v>
      </c>
      <c r="K46" s="205">
        <f>F46-4927.6</f>
        <v>104.06999999999971</v>
      </c>
      <c r="L46" s="205">
        <f>F46/4927.6*100</f>
        <v>102.11198149200422</v>
      </c>
      <c r="M46" s="204">
        <f>E46-червень!E46</f>
        <v>800</v>
      </c>
      <c r="N46" s="208">
        <f>F46-червень!F46</f>
        <v>30.609999999999673</v>
      </c>
      <c r="O46" s="207">
        <f t="shared" si="11"/>
        <v>-769.3900000000003</v>
      </c>
      <c r="P46" s="205">
        <f t="shared" si="8"/>
        <v>3.826249999999959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69.83</v>
      </c>
      <c r="G47" s="202">
        <f t="shared" si="9"/>
        <v>-710.17</v>
      </c>
      <c r="H47" s="204">
        <f t="shared" si="7"/>
        <v>8.952564102564102</v>
      </c>
      <c r="I47" s="205">
        <f t="shared" si="10"/>
        <v>-1430.17</v>
      </c>
      <c r="J47" s="205">
        <f t="shared" si="12"/>
        <v>4.655333333333333</v>
      </c>
      <c r="K47" s="205">
        <f>F47-0</f>
        <v>69.83</v>
      </c>
      <c r="L47" s="205"/>
      <c r="M47" s="204">
        <f>E47-червень!E47</f>
        <v>130</v>
      </c>
      <c r="N47" s="208">
        <f>F47-червень!F47</f>
        <v>0.9099999999999966</v>
      </c>
      <c r="O47" s="207">
        <f t="shared" si="11"/>
        <v>-129.09</v>
      </c>
      <c r="P47" s="205">
        <f t="shared" si="8"/>
        <v>0.6999999999999974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3928.05</v>
      </c>
      <c r="G49" s="202">
        <f t="shared" si="9"/>
        <v>-688.1799999999994</v>
      </c>
      <c r="H49" s="204">
        <f t="shared" si="7"/>
        <v>85.09216395196948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E49-червень!E49</f>
        <v>649.9999999999995</v>
      </c>
      <c r="N49" s="208">
        <f>F49-червень!F49</f>
        <v>0</v>
      </c>
      <c r="O49" s="207">
        <f t="shared" si="11"/>
        <v>-649.9999999999995</v>
      </c>
      <c r="P49" s="205">
        <f t="shared" si="8"/>
        <v>0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3122.8</v>
      </c>
      <c r="G50" s="202">
        <f t="shared" si="9"/>
        <v>-749.3899999999999</v>
      </c>
      <c r="H50" s="204">
        <f t="shared" si="7"/>
        <v>80.64686908441993</v>
      </c>
      <c r="I50" s="205">
        <f t="shared" si="10"/>
        <v>-4177.2</v>
      </c>
      <c r="J50" s="205">
        <f t="shared" si="12"/>
        <v>42.778082191780825</v>
      </c>
      <c r="K50" s="205">
        <f>F50-4033.24</f>
        <v>-910.4399999999996</v>
      </c>
      <c r="L50" s="205">
        <f>F50/4033.24*100</f>
        <v>77.4265850780018</v>
      </c>
      <c r="M50" s="204">
        <f>E50-червень!E50</f>
        <v>653</v>
      </c>
      <c r="N50" s="208">
        <f>F50-червень!F50</f>
        <v>28.170000000000073</v>
      </c>
      <c r="O50" s="207">
        <f t="shared" si="11"/>
        <v>-624.8299999999999</v>
      </c>
      <c r="P50" s="205">
        <f t="shared" si="8"/>
        <v>4.313935681470149</v>
      </c>
      <c r="Q50" s="42"/>
      <c r="R50" s="100"/>
    </row>
    <row r="51" spans="1:18" s="6" customFormat="1" ht="15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423.41</v>
      </c>
      <c r="G51" s="36">
        <f t="shared" si="9"/>
        <v>-220.57999999999998</v>
      </c>
      <c r="H51" s="32">
        <f t="shared" si="7"/>
        <v>65.74791534030032</v>
      </c>
      <c r="I51" s="110">
        <f t="shared" si="10"/>
        <v>-676.5899999999999</v>
      </c>
      <c r="J51" s="110">
        <f t="shared" si="12"/>
        <v>38.49181818181818</v>
      </c>
      <c r="K51" s="110">
        <f>F51-582.74</f>
        <v>-159.32999999999998</v>
      </c>
      <c r="L51" s="110">
        <f>F51/582.74*100</f>
        <v>72.65847547791469</v>
      </c>
      <c r="M51" s="111">
        <f>E51-червень!E51</f>
        <v>92</v>
      </c>
      <c r="N51" s="179">
        <f>F51-червень!F51</f>
        <v>2.740000000000009</v>
      </c>
      <c r="O51" s="112">
        <f t="shared" si="11"/>
        <v>-89.25999999999999</v>
      </c>
      <c r="P51" s="132">
        <f t="shared" si="8"/>
        <v>2.9782608695652275</v>
      </c>
      <c r="Q51" s="42"/>
      <c r="R51" s="100"/>
    </row>
    <row r="52" spans="1:18" s="6" customFormat="1" ht="15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0.24</v>
      </c>
      <c r="G52" s="36">
        <f t="shared" si="9"/>
        <v>-5.8</v>
      </c>
      <c r="H52" s="32">
        <f t="shared" si="7"/>
        <v>3.9735099337748347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E52-червень!E52</f>
        <v>1</v>
      </c>
      <c r="N52" s="179">
        <f>F52-червень!F52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2699.13</v>
      </c>
      <c r="G54" s="36">
        <f t="shared" si="9"/>
        <v>-523.04</v>
      </c>
      <c r="H54" s="32">
        <f t="shared" si="7"/>
        <v>83.76746105885164</v>
      </c>
      <c r="I54" s="110">
        <f t="shared" si="10"/>
        <v>-3454.87</v>
      </c>
      <c r="J54" s="110">
        <f t="shared" si="12"/>
        <v>43.859766005849856</v>
      </c>
      <c r="K54" s="110">
        <f>F54-3404.6</f>
        <v>-705.4699999999998</v>
      </c>
      <c r="L54" s="110">
        <f>F54/3404.6*100</f>
        <v>79.27891675967808</v>
      </c>
      <c r="M54" s="111">
        <f>E54-червень!E54</f>
        <v>560</v>
      </c>
      <c r="N54" s="179">
        <f>F54-червень!F54</f>
        <v>25.420000000000073</v>
      </c>
      <c r="O54" s="112">
        <f t="shared" si="11"/>
        <v>-534.5799999999999</v>
      </c>
      <c r="P54" s="132">
        <f t="shared" si="8"/>
        <v>4.539285714285727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2711.43</v>
      </c>
      <c r="G56" s="202">
        <f t="shared" si="9"/>
        <v>73.44999999999982</v>
      </c>
      <c r="H56" s="204">
        <f t="shared" si="7"/>
        <v>102.7843274020273</v>
      </c>
      <c r="I56" s="205">
        <f t="shared" si="10"/>
        <v>-2088.57</v>
      </c>
      <c r="J56" s="205">
        <f t="shared" si="12"/>
        <v>56.488125</v>
      </c>
      <c r="K56" s="205">
        <f>F56-2236.15</f>
        <v>475.27999999999975</v>
      </c>
      <c r="L56" s="205">
        <f>F56/2236.15*100</f>
        <v>121.25438812244258</v>
      </c>
      <c r="M56" s="204">
        <f>E56-червень!E56</f>
        <v>370</v>
      </c>
      <c r="N56" s="208">
        <f>F56-червень!F56</f>
        <v>2.2899999999999636</v>
      </c>
      <c r="O56" s="207">
        <f t="shared" si="11"/>
        <v>-367.71000000000004</v>
      </c>
      <c r="P56" s="205">
        <f t="shared" si="8"/>
        <v>0.618918918918909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593.4</v>
      </c>
      <c r="G58" s="202"/>
      <c r="H58" s="204"/>
      <c r="I58" s="205"/>
      <c r="J58" s="205"/>
      <c r="K58" s="206">
        <f>F58-577.4</f>
        <v>16</v>
      </c>
      <c r="L58" s="206">
        <f>F58/577.4*100</f>
        <v>102.77104260478005</v>
      </c>
      <c r="M58" s="236"/>
      <c r="N58" s="220">
        <f>F58-червень!F58</f>
        <v>1.1399999999999864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E60-червень!E60</f>
        <v>0</v>
      </c>
      <c r="N60" s="208">
        <f>F60-червень!F60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F62-червень!F62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495632.39</v>
      </c>
      <c r="G63" s="191">
        <f>F63-E63</f>
        <v>-29064.420000000042</v>
      </c>
      <c r="H63" s="192">
        <f>F63/E63*100</f>
        <v>94.46072104002309</v>
      </c>
      <c r="I63" s="193">
        <f>F63-D63</f>
        <v>-388268.20999999996</v>
      </c>
      <c r="J63" s="193">
        <f>F63/D63*100</f>
        <v>56.07331752009219</v>
      </c>
      <c r="K63" s="193">
        <f>F63-320998.67</f>
        <v>174633.72000000003</v>
      </c>
      <c r="L63" s="193">
        <f>F63/320998.67*100</f>
        <v>154.40325344650182</v>
      </c>
      <c r="M63" s="191">
        <f>M8+M37+M61+M62</f>
        <v>82950.80000000003</v>
      </c>
      <c r="N63" s="191">
        <f>N8+N37+N61+N62</f>
        <v>846.3899999999849</v>
      </c>
      <c r="O63" s="195">
        <f>N63-M63</f>
        <v>-82104.41000000005</v>
      </c>
      <c r="P63" s="193">
        <f>N63/M63*100</f>
        <v>1.0203518230083188</v>
      </c>
      <c r="Q63" s="28">
        <f>N63-34768</f>
        <v>-33921.610000000015</v>
      </c>
      <c r="R63" s="128">
        <f>N63/34768</f>
        <v>0.024343936953520044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1042.03</v>
      </c>
      <c r="G72" s="202">
        <f aca="true" t="shared" si="13" ref="G72:G82">F72-E72</f>
        <v>-757.97</v>
      </c>
      <c r="H72" s="204"/>
      <c r="I72" s="207">
        <f aca="true" t="shared" si="14" ref="I72:I82">F72-D72</f>
        <v>-3157.9700000000003</v>
      </c>
      <c r="J72" s="207">
        <f>F72/D72*100</f>
        <v>24.810238095238095</v>
      </c>
      <c r="K72" s="207">
        <f>F72-194</f>
        <v>848.03</v>
      </c>
      <c r="L72" s="207">
        <f>F72/194*100</f>
        <v>537.1288659793814</v>
      </c>
      <c r="M72" s="204">
        <f>E72-червень!E72</f>
        <v>387</v>
      </c>
      <c r="N72" s="208">
        <f>F72-червень!F72</f>
        <v>0.009999999999990905</v>
      </c>
      <c r="O72" s="207">
        <f aca="true" t="shared" si="15" ref="O72:O85">N72-M72</f>
        <v>-386.99</v>
      </c>
      <c r="P72" s="207">
        <f>N72/M72*100</f>
        <v>0.0025839793281630247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9374.51</v>
      </c>
      <c r="G74" s="202">
        <f t="shared" si="13"/>
        <v>7279.66</v>
      </c>
      <c r="H74" s="204">
        <f>F74/E74*100</f>
        <v>447.50268515645513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E74-червень!E74</f>
        <v>302</v>
      </c>
      <c r="N74" s="208">
        <f>F74-червень!F74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11358.58</v>
      </c>
      <c r="G76" s="226">
        <f t="shared" si="13"/>
        <v>4129.42</v>
      </c>
      <c r="H76" s="227">
        <f>F76/E76*100</f>
        <v>157.1217126194468</v>
      </c>
      <c r="I76" s="228">
        <f t="shared" si="14"/>
        <v>-6312.42</v>
      </c>
      <c r="J76" s="228">
        <f>F76/D76*100</f>
        <v>64.27808273442363</v>
      </c>
      <c r="K76" s="228">
        <f>F76-5269.49</f>
        <v>6089.09</v>
      </c>
      <c r="L76" s="228">
        <f>F76/5269.49*100</f>
        <v>215.5536873587387</v>
      </c>
      <c r="M76" s="226">
        <f>M72+M73+M74+M75</f>
        <v>1783.6</v>
      </c>
      <c r="N76" s="230">
        <f>N72+N73+N74+N75</f>
        <v>0.009999999999990905</v>
      </c>
      <c r="O76" s="228">
        <f t="shared" si="15"/>
        <v>-1783.59</v>
      </c>
      <c r="P76" s="228">
        <f>N76/M76*100</f>
        <v>0.0005606638259694386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4890.44</v>
      </c>
      <c r="G79" s="202">
        <f t="shared" si="13"/>
        <v>-236.86000000000058</v>
      </c>
      <c r="H79" s="204">
        <f>F79/E79*100</f>
        <v>95.38041464318451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E79-червень!E79</f>
        <v>10</v>
      </c>
      <c r="N79" s="208">
        <f>F79-червень!F79</f>
        <v>0</v>
      </c>
      <c r="O79" s="207">
        <f>N79-M79</f>
        <v>-10</v>
      </c>
      <c r="P79" s="231">
        <f>N79/M79*100</f>
        <v>0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4896.44</v>
      </c>
      <c r="G81" s="224">
        <f>G77+G80+G78+G79</f>
        <v>-230.86000000000058</v>
      </c>
      <c r="H81" s="227">
        <f>F81/E81*100</f>
        <v>95.49743529732997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10</v>
      </c>
      <c r="N81" s="230">
        <f>N77+N80+N78+N79</f>
        <v>0</v>
      </c>
      <c r="O81" s="226">
        <f>O77+O80+O78+O79</f>
        <v>-10</v>
      </c>
      <c r="P81" s="228">
        <f>N81/M81*100</f>
        <v>0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18.25</v>
      </c>
      <c r="G82" s="202">
        <f t="shared" si="13"/>
        <v>-2.0500000000000007</v>
      </c>
      <c r="H82" s="204">
        <f>F82/E82*100</f>
        <v>89.90147783251231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E82-червень!E82</f>
        <v>0.6000000000000014</v>
      </c>
      <c r="N82" s="208">
        <f>F82-червень!F82</f>
        <v>0</v>
      </c>
      <c r="O82" s="207">
        <f t="shared" si="15"/>
        <v>-0.6000000000000014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16270.98</v>
      </c>
      <c r="G84" s="233">
        <f>F84-E84</f>
        <v>3894.2199999999993</v>
      </c>
      <c r="H84" s="234">
        <f>F84/E84*100</f>
        <v>131.46396956877246</v>
      </c>
      <c r="I84" s="235">
        <f>F84-D84</f>
        <v>-10944.02</v>
      </c>
      <c r="J84" s="235">
        <f>F84/D84*100</f>
        <v>59.78680874517729</v>
      </c>
      <c r="K84" s="235">
        <f>F84-5259.67</f>
        <v>11011.31</v>
      </c>
      <c r="L84" s="235">
        <f>F84/5259.67*100</f>
        <v>309.35362864970614</v>
      </c>
      <c r="M84" s="232">
        <f>M70+M82+M76+M81</f>
        <v>1794.1999999999998</v>
      </c>
      <c r="N84" s="232">
        <f>N70+N82+N76+N81+N83</f>
        <v>0.009999999999990905</v>
      </c>
      <c r="O84" s="235">
        <f t="shared" si="15"/>
        <v>-1794.1899999999998</v>
      </c>
      <c r="P84" s="235">
        <f>N84/M84*100</f>
        <v>0.0005573514658338483</v>
      </c>
      <c r="Q84" s="28">
        <f>N84-8104.96</f>
        <v>-8104.95</v>
      </c>
      <c r="R84" s="101">
        <f>N84/8104.96</f>
        <v>1.2338123815528892E-06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511903.37</v>
      </c>
      <c r="G85" s="233">
        <f>F85-E85</f>
        <v>-25170.20000000007</v>
      </c>
      <c r="H85" s="234">
        <f>F85/E85*100</f>
        <v>95.31345398359483</v>
      </c>
      <c r="I85" s="235">
        <f>F85-D85</f>
        <v>-399212.23</v>
      </c>
      <c r="J85" s="235">
        <f>F85/D85*100</f>
        <v>56.18423940935706</v>
      </c>
      <c r="K85" s="235">
        <f>F85-320998.67-5259.67</f>
        <v>185645.03</v>
      </c>
      <c r="L85" s="235">
        <f>F85/(265734.15+4325.48)*100</f>
        <v>189.5519778354136</v>
      </c>
      <c r="M85" s="233">
        <f>M63+M84</f>
        <v>84745.00000000003</v>
      </c>
      <c r="N85" s="233">
        <f>N63+N84</f>
        <v>846.3999999999849</v>
      </c>
      <c r="O85" s="235">
        <f t="shared" si="15"/>
        <v>-83898.60000000005</v>
      </c>
      <c r="P85" s="235">
        <f>N85/M85*100</f>
        <v>0.9987609888488813</v>
      </c>
      <c r="Q85" s="28">
        <f>N85-42872.96</f>
        <v>-42026.56000000001</v>
      </c>
      <c r="R85" s="101">
        <f>N85/42872.96</f>
        <v>0.019742047201779044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21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3909.733809523812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42552</v>
      </c>
      <c r="D89" s="31">
        <v>846.4</v>
      </c>
      <c r="G89" s="4" t="s">
        <v>59</v>
      </c>
      <c r="N89" s="274"/>
      <c r="O89" s="274"/>
    </row>
    <row r="90" spans="3:15" ht="15">
      <c r="C90" s="87">
        <v>42551</v>
      </c>
      <c r="D90" s="31">
        <v>27978.6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42550</v>
      </c>
      <c r="D91" s="31">
        <v>11029.3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f>'[1]залишки  (2)'!$G$6/1000</f>
        <v>3826.01882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 hidden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252.05999999999997</v>
      </c>
      <c r="G96" s="73">
        <f>G44+G47+G48</f>
        <v>-599.94</v>
      </c>
      <c r="H96" s="74"/>
      <c r="I96" s="74"/>
      <c r="M96" s="31">
        <f>M44+M47+M48</f>
        <v>142</v>
      </c>
      <c r="N96" s="246">
        <f>N44+N47+N48</f>
        <v>6.519999999999982</v>
      </c>
      <c r="O96" s="31">
        <f>O44+O47+O48</f>
        <v>-135.48000000000002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8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8" sqref="G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49"/>
      <c r="C2" s="249"/>
      <c r="D2" s="249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172</v>
      </c>
      <c r="N3" s="261" t="s">
        <v>173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170</v>
      </c>
      <c r="F4" s="264" t="s">
        <v>34</v>
      </c>
      <c r="G4" s="266" t="s">
        <v>171</v>
      </c>
      <c r="H4" s="259" t="s">
        <v>175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178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67.5" customHeight="1">
      <c r="A5" s="251"/>
      <c r="B5" s="252"/>
      <c r="C5" s="253"/>
      <c r="D5" s="254"/>
      <c r="E5" s="263"/>
      <c r="F5" s="265"/>
      <c r="G5" s="267"/>
      <c r="H5" s="260"/>
      <c r="I5" s="267"/>
      <c r="J5" s="260"/>
      <c r="K5" s="271" t="s">
        <v>174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74"/>
      <c r="O89" s="274"/>
    </row>
    <row r="90" spans="3:15" ht="15">
      <c r="C90" s="87">
        <v>42550</v>
      </c>
      <c r="D90" s="31">
        <v>11029.3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42545</v>
      </c>
      <c r="D91" s="31">
        <v>6499.7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9447.89588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247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99" ht="15">
      <c r="N99" s="31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.11811023622047245" bottom="0.11811023622047245" header="0.1968503937007874" footer="0.11811023622047245"/>
  <pageSetup fitToHeight="2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168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162</v>
      </c>
      <c r="N3" s="261" t="s">
        <v>163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158</v>
      </c>
      <c r="F4" s="285" t="s">
        <v>34</v>
      </c>
      <c r="G4" s="266" t="s">
        <v>159</v>
      </c>
      <c r="H4" s="259" t="s">
        <v>160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169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161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3"/>
      <c r="H88" s="273"/>
      <c r="I88" s="273"/>
      <c r="J88" s="27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74"/>
      <c r="O89" s="274"/>
    </row>
    <row r="90" spans="3:15" ht="15">
      <c r="C90" s="87">
        <v>42520</v>
      </c>
      <c r="D90" s="31">
        <v>8891</v>
      </c>
      <c r="F90" s="124" t="s">
        <v>59</v>
      </c>
      <c r="G90" s="275"/>
      <c r="H90" s="275"/>
      <c r="I90" s="131"/>
      <c r="J90" s="276"/>
      <c r="K90" s="276"/>
      <c r="L90" s="276"/>
      <c r="M90" s="276"/>
      <c r="N90" s="274"/>
      <c r="O90" s="274"/>
    </row>
    <row r="91" spans="3:15" ht="15.75" customHeight="1">
      <c r="C91" s="87">
        <v>42517</v>
      </c>
      <c r="D91" s="31">
        <v>7356.3</v>
      </c>
      <c r="F91" s="73"/>
      <c r="G91" s="275"/>
      <c r="H91" s="275"/>
      <c r="I91" s="131"/>
      <c r="J91" s="277"/>
      <c r="K91" s="277"/>
      <c r="L91" s="277"/>
      <c r="M91" s="277"/>
      <c r="N91" s="274"/>
      <c r="O91" s="274"/>
    </row>
    <row r="92" spans="3:13" ht="15.75" customHeight="1">
      <c r="C92" s="87"/>
      <c r="F92" s="73"/>
      <c r="G92" s="281"/>
      <c r="H92" s="281"/>
      <c r="I92" s="139"/>
      <c r="J92" s="276"/>
      <c r="K92" s="276"/>
      <c r="L92" s="276"/>
      <c r="M92" s="276"/>
    </row>
    <row r="93" spans="2:13" ht="18.75" customHeight="1">
      <c r="B93" s="282" t="s">
        <v>57</v>
      </c>
      <c r="C93" s="283"/>
      <c r="D93" s="148">
        <v>2811.04042</v>
      </c>
      <c r="E93" s="74"/>
      <c r="F93" s="140" t="s">
        <v>137</v>
      </c>
      <c r="G93" s="275"/>
      <c r="H93" s="275"/>
      <c r="I93" s="141"/>
      <c r="J93" s="276"/>
      <c r="K93" s="276"/>
      <c r="L93" s="276"/>
      <c r="M93" s="276"/>
    </row>
    <row r="94" spans="6:12" ht="9.75" customHeight="1">
      <c r="F94" s="73"/>
      <c r="G94" s="275"/>
      <c r="H94" s="275"/>
      <c r="I94" s="73"/>
      <c r="J94" s="74"/>
      <c r="K94" s="74"/>
      <c r="L94" s="74"/>
    </row>
    <row r="95" spans="2:12" ht="22.5" customHeight="1">
      <c r="B95" s="278" t="s">
        <v>60</v>
      </c>
      <c r="C95" s="279"/>
      <c r="D95" s="86">
        <v>0</v>
      </c>
      <c r="E95" s="56" t="s">
        <v>24</v>
      </c>
      <c r="F95" s="73"/>
      <c r="G95" s="275"/>
      <c r="H95" s="275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80"/>
      <c r="O97" s="280"/>
    </row>
    <row r="98" spans="14:15" ht="15">
      <c r="N98" s="275"/>
      <c r="O98" s="275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153</v>
      </c>
      <c r="N3" s="261" t="s">
        <v>154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150</v>
      </c>
      <c r="F4" s="285" t="s">
        <v>34</v>
      </c>
      <c r="G4" s="266" t="s">
        <v>151</v>
      </c>
      <c r="H4" s="259" t="s">
        <v>152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157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155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3"/>
      <c r="H84" s="273"/>
      <c r="I84" s="273"/>
      <c r="J84" s="27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74"/>
      <c r="O85" s="274"/>
    </row>
    <row r="86" spans="3:15" ht="15">
      <c r="C86" s="87">
        <v>42488</v>
      </c>
      <c r="D86" s="31">
        <v>11419.7</v>
      </c>
      <c r="F86" s="124" t="s">
        <v>59</v>
      </c>
      <c r="G86" s="275"/>
      <c r="H86" s="275"/>
      <c r="I86" s="131"/>
      <c r="J86" s="276"/>
      <c r="K86" s="276"/>
      <c r="L86" s="276"/>
      <c r="M86" s="276"/>
      <c r="N86" s="274"/>
      <c r="O86" s="274"/>
    </row>
    <row r="87" spans="3:15" ht="15.75" customHeight="1">
      <c r="C87" s="87">
        <v>42487</v>
      </c>
      <c r="D87" s="31">
        <v>7800.7</v>
      </c>
      <c r="F87" s="73"/>
      <c r="G87" s="275"/>
      <c r="H87" s="275"/>
      <c r="I87" s="131"/>
      <c r="J87" s="277"/>
      <c r="K87" s="277"/>
      <c r="L87" s="277"/>
      <c r="M87" s="277"/>
      <c r="N87" s="274"/>
      <c r="O87" s="274"/>
    </row>
    <row r="88" spans="3:13" ht="15.75" customHeight="1">
      <c r="C88" s="87"/>
      <c r="F88" s="73"/>
      <c r="G88" s="281"/>
      <c r="H88" s="281"/>
      <c r="I88" s="139"/>
      <c r="J88" s="276"/>
      <c r="K88" s="276"/>
      <c r="L88" s="276"/>
      <c r="M88" s="276"/>
    </row>
    <row r="89" spans="2:13" ht="18.75" customHeight="1">
      <c r="B89" s="282" t="s">
        <v>57</v>
      </c>
      <c r="C89" s="283"/>
      <c r="D89" s="148">
        <v>9087.9705</v>
      </c>
      <c r="E89" s="74"/>
      <c r="F89" s="140" t="s">
        <v>137</v>
      </c>
      <c r="G89" s="275"/>
      <c r="H89" s="275"/>
      <c r="I89" s="141"/>
      <c r="J89" s="276"/>
      <c r="K89" s="276"/>
      <c r="L89" s="276"/>
      <c r="M89" s="276"/>
    </row>
    <row r="90" spans="6:12" ht="9.75" customHeight="1">
      <c r="F90" s="73"/>
      <c r="G90" s="275"/>
      <c r="H90" s="275"/>
      <c r="I90" s="73"/>
      <c r="J90" s="74"/>
      <c r="K90" s="74"/>
      <c r="L90" s="74"/>
    </row>
    <row r="91" spans="2:12" ht="22.5" customHeight="1" hidden="1">
      <c r="B91" s="278" t="s">
        <v>60</v>
      </c>
      <c r="C91" s="279"/>
      <c r="D91" s="86">
        <v>0</v>
      </c>
      <c r="E91" s="56" t="s">
        <v>24</v>
      </c>
      <c r="F91" s="73"/>
      <c r="G91" s="275"/>
      <c r="H91" s="275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75"/>
      <c r="O92" s="275"/>
    </row>
    <row r="93" spans="4:15" ht="15">
      <c r="D93" s="83"/>
      <c r="I93" s="31"/>
      <c r="N93" s="280"/>
      <c r="O93" s="280"/>
    </row>
    <row r="94" spans="14:15" ht="15">
      <c r="N94" s="275"/>
      <c r="O94" s="275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48" t="s">
        <v>148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58" t="s">
        <v>147</v>
      </c>
      <c r="N3" s="261" t="s">
        <v>143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146</v>
      </c>
      <c r="F4" s="285" t="s">
        <v>34</v>
      </c>
      <c r="G4" s="266" t="s">
        <v>141</v>
      </c>
      <c r="H4" s="259" t="s">
        <v>142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149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8.7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144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74"/>
      <c r="O84" s="274"/>
    </row>
    <row r="85" spans="3:15" ht="15">
      <c r="C85" s="87">
        <v>42459</v>
      </c>
      <c r="D85" s="31">
        <v>7576.3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42458</v>
      </c>
      <c r="D86" s="31">
        <v>9190.1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f>4343.7</f>
        <v>4343.7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/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128</v>
      </c>
      <c r="N3" s="261" t="s">
        <v>119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127</v>
      </c>
      <c r="F4" s="285" t="s">
        <v>34</v>
      </c>
      <c r="G4" s="266" t="s">
        <v>116</v>
      </c>
      <c r="H4" s="259" t="s">
        <v>117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68" t="s">
        <v>140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118</v>
      </c>
      <c r="L5" s="272"/>
      <c r="M5" s="260"/>
      <c r="N5" s="26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74"/>
      <c r="O84" s="274"/>
    </row>
    <row r="85" spans="3:15" ht="15">
      <c r="C85" s="87">
        <v>42426</v>
      </c>
      <c r="D85" s="31">
        <v>6256.2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42425</v>
      </c>
      <c r="D86" s="31">
        <v>3536.9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505.3</v>
      </c>
      <c r="E88" s="74"/>
      <c r="F88" s="140" t="s">
        <v>137</v>
      </c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135</v>
      </c>
      <c r="C3" s="253" t="s">
        <v>0</v>
      </c>
      <c r="D3" s="254" t="s">
        <v>121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132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129</v>
      </c>
      <c r="F4" s="285" t="s">
        <v>34</v>
      </c>
      <c r="G4" s="266" t="s">
        <v>130</v>
      </c>
      <c r="H4" s="259" t="s">
        <v>131</v>
      </c>
      <c r="I4" s="266" t="s">
        <v>122</v>
      </c>
      <c r="J4" s="259" t="s">
        <v>123</v>
      </c>
      <c r="K4" s="91" t="s">
        <v>65</v>
      </c>
      <c r="L4" s="96" t="s">
        <v>64</v>
      </c>
      <c r="M4" s="259"/>
      <c r="N4" s="288" t="s">
        <v>133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92.25" customHeight="1">
      <c r="A5" s="251"/>
      <c r="B5" s="252"/>
      <c r="C5" s="253"/>
      <c r="D5" s="254"/>
      <c r="E5" s="263"/>
      <c r="F5" s="286"/>
      <c r="G5" s="267"/>
      <c r="H5" s="260"/>
      <c r="I5" s="267"/>
      <c r="J5" s="260"/>
      <c r="K5" s="271" t="s">
        <v>134</v>
      </c>
      <c r="L5" s="272"/>
      <c r="M5" s="260"/>
      <c r="N5" s="289"/>
      <c r="O5" s="267"/>
      <c r="P5" s="270"/>
      <c r="Q5" s="271" t="s">
        <v>120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3"/>
      <c r="H83" s="273"/>
      <c r="I83" s="273"/>
      <c r="J83" s="27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74"/>
      <c r="O84" s="274"/>
    </row>
    <row r="85" spans="3:15" ht="15">
      <c r="C85" s="87">
        <v>42397</v>
      </c>
      <c r="D85" s="31">
        <v>8685</v>
      </c>
      <c r="F85" s="124" t="s">
        <v>59</v>
      </c>
      <c r="G85" s="275"/>
      <c r="H85" s="275"/>
      <c r="I85" s="131"/>
      <c r="J85" s="276"/>
      <c r="K85" s="276"/>
      <c r="L85" s="276"/>
      <c r="M85" s="276"/>
      <c r="N85" s="274"/>
      <c r="O85" s="274"/>
    </row>
    <row r="86" spans="3:15" ht="15.75" customHeight="1">
      <c r="C86" s="87">
        <v>42396</v>
      </c>
      <c r="D86" s="31">
        <v>4820.3</v>
      </c>
      <c r="F86" s="73"/>
      <c r="G86" s="275"/>
      <c r="H86" s="275"/>
      <c r="I86" s="131"/>
      <c r="J86" s="277"/>
      <c r="K86" s="277"/>
      <c r="L86" s="277"/>
      <c r="M86" s="277"/>
      <c r="N86" s="274"/>
      <c r="O86" s="274"/>
    </row>
    <row r="87" spans="3:13" ht="15.75" customHeight="1">
      <c r="C87" s="87"/>
      <c r="F87" s="73"/>
      <c r="G87" s="281"/>
      <c r="H87" s="281"/>
      <c r="I87" s="139"/>
      <c r="J87" s="276"/>
      <c r="K87" s="276"/>
      <c r="L87" s="276"/>
      <c r="M87" s="276"/>
    </row>
    <row r="88" spans="2:13" ht="18.75" customHeight="1">
      <c r="B88" s="282" t="s">
        <v>57</v>
      </c>
      <c r="C88" s="283"/>
      <c r="D88" s="148">
        <v>300.92</v>
      </c>
      <c r="E88" s="74"/>
      <c r="F88" s="140"/>
      <c r="G88" s="275"/>
      <c r="H88" s="275"/>
      <c r="I88" s="141"/>
      <c r="J88" s="276"/>
      <c r="K88" s="276"/>
      <c r="L88" s="276"/>
      <c r="M88" s="276"/>
    </row>
    <row r="89" spans="6:12" ht="9.75" customHeight="1">
      <c r="F89" s="73"/>
      <c r="G89" s="275"/>
      <c r="H89" s="275"/>
      <c r="I89" s="73"/>
      <c r="J89" s="74"/>
      <c r="K89" s="74"/>
      <c r="L89" s="74"/>
    </row>
    <row r="90" spans="2:12" ht="22.5" customHeight="1" hidden="1">
      <c r="B90" s="278" t="s">
        <v>60</v>
      </c>
      <c r="C90" s="279"/>
      <c r="D90" s="86">
        <v>0</v>
      </c>
      <c r="E90" s="56" t="s">
        <v>24</v>
      </c>
      <c r="F90" s="73"/>
      <c r="G90" s="275"/>
      <c r="H90" s="275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75"/>
      <c r="O91" s="275"/>
    </row>
    <row r="92" spans="4:15" ht="15">
      <c r="D92" s="83"/>
      <c r="I92" s="31"/>
      <c r="N92" s="280"/>
      <c r="O92" s="280"/>
    </row>
    <row r="93" spans="14:15" ht="15">
      <c r="N93" s="275"/>
      <c r="O93" s="275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92"/>
      <c r="R1" s="93"/>
    </row>
    <row r="2" spans="2:18" s="1" customFormat="1" ht="15.75" customHeight="1">
      <c r="B2" s="284"/>
      <c r="C2" s="284"/>
      <c r="D2" s="284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50"/>
      <c r="B3" s="252" t="s">
        <v>136</v>
      </c>
      <c r="C3" s="253" t="s">
        <v>0</v>
      </c>
      <c r="D3" s="254" t="s">
        <v>115</v>
      </c>
      <c r="E3" s="34"/>
      <c r="F3" s="255" t="s">
        <v>26</v>
      </c>
      <c r="G3" s="256"/>
      <c r="H3" s="256"/>
      <c r="I3" s="256"/>
      <c r="J3" s="257"/>
      <c r="K3" s="89"/>
      <c r="L3" s="89"/>
      <c r="M3" s="287" t="s">
        <v>107</v>
      </c>
      <c r="N3" s="261" t="s">
        <v>66</v>
      </c>
      <c r="O3" s="261"/>
      <c r="P3" s="261"/>
      <c r="Q3" s="261"/>
      <c r="R3" s="261"/>
    </row>
    <row r="4" spans="1:18" ht="22.5" customHeight="1">
      <c r="A4" s="250"/>
      <c r="B4" s="252"/>
      <c r="C4" s="253"/>
      <c r="D4" s="254"/>
      <c r="E4" s="262" t="s">
        <v>104</v>
      </c>
      <c r="F4" s="290" t="s">
        <v>34</v>
      </c>
      <c r="G4" s="266" t="s">
        <v>109</v>
      </c>
      <c r="H4" s="259" t="s">
        <v>110</v>
      </c>
      <c r="I4" s="266" t="s">
        <v>105</v>
      </c>
      <c r="J4" s="259" t="s">
        <v>106</v>
      </c>
      <c r="K4" s="91" t="s">
        <v>65</v>
      </c>
      <c r="L4" s="96" t="s">
        <v>64</v>
      </c>
      <c r="M4" s="259"/>
      <c r="N4" s="288" t="s">
        <v>103</v>
      </c>
      <c r="O4" s="266" t="s">
        <v>50</v>
      </c>
      <c r="P4" s="270" t="s">
        <v>49</v>
      </c>
      <c r="Q4" s="97" t="s">
        <v>65</v>
      </c>
      <c r="R4" s="98" t="s">
        <v>64</v>
      </c>
    </row>
    <row r="5" spans="1:18" ht="76.5" customHeight="1">
      <c r="A5" s="251"/>
      <c r="B5" s="252"/>
      <c r="C5" s="253"/>
      <c r="D5" s="254"/>
      <c r="E5" s="263"/>
      <c r="F5" s="291"/>
      <c r="G5" s="267"/>
      <c r="H5" s="260"/>
      <c r="I5" s="267"/>
      <c r="J5" s="260"/>
      <c r="K5" s="271" t="s">
        <v>108</v>
      </c>
      <c r="L5" s="272"/>
      <c r="M5" s="260"/>
      <c r="N5" s="289"/>
      <c r="O5" s="267"/>
      <c r="P5" s="270"/>
      <c r="Q5" s="271" t="s">
        <v>126</v>
      </c>
      <c r="R5" s="27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3"/>
      <c r="H82" s="273"/>
      <c r="I82" s="273"/>
      <c r="J82" s="27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74"/>
      <c r="O83" s="274"/>
    </row>
    <row r="84" spans="3:15" ht="15">
      <c r="C84" s="87">
        <v>42397</v>
      </c>
      <c r="D84" s="31">
        <v>8685</v>
      </c>
      <c r="F84" s="166" t="s">
        <v>59</v>
      </c>
      <c r="G84" s="275"/>
      <c r="H84" s="275"/>
      <c r="I84" s="131"/>
      <c r="J84" s="276"/>
      <c r="K84" s="276"/>
      <c r="L84" s="276"/>
      <c r="M84" s="276"/>
      <c r="N84" s="274"/>
      <c r="O84" s="274"/>
    </row>
    <row r="85" spans="3:15" ht="15.75" customHeight="1">
      <c r="C85" s="87">
        <v>42396</v>
      </c>
      <c r="D85" s="31">
        <v>4820.3</v>
      </c>
      <c r="F85" s="167"/>
      <c r="G85" s="275"/>
      <c r="H85" s="275"/>
      <c r="I85" s="131"/>
      <c r="J85" s="277"/>
      <c r="K85" s="277"/>
      <c r="L85" s="277"/>
      <c r="M85" s="277"/>
      <c r="N85" s="274"/>
      <c r="O85" s="274"/>
    </row>
    <row r="86" spans="3:13" ht="15.75" customHeight="1">
      <c r="C86" s="87"/>
      <c r="F86" s="167"/>
      <c r="G86" s="281"/>
      <c r="H86" s="281"/>
      <c r="I86" s="139"/>
      <c r="J86" s="276"/>
      <c r="K86" s="276"/>
      <c r="L86" s="276"/>
      <c r="M86" s="276"/>
    </row>
    <row r="87" spans="2:13" ht="18.75" customHeight="1">
      <c r="B87" s="282" t="s">
        <v>57</v>
      </c>
      <c r="C87" s="283"/>
      <c r="D87" s="148">
        <v>300.92</v>
      </c>
      <c r="E87" s="74"/>
      <c r="F87" s="168"/>
      <c r="G87" s="275"/>
      <c r="H87" s="275"/>
      <c r="I87" s="141"/>
      <c r="J87" s="276"/>
      <c r="K87" s="276"/>
      <c r="L87" s="276"/>
      <c r="M87" s="276"/>
    </row>
    <row r="88" spans="6:12" ht="9.75" customHeight="1">
      <c r="F88" s="167"/>
      <c r="G88" s="275"/>
      <c r="H88" s="275"/>
      <c r="I88" s="73"/>
      <c r="J88" s="74"/>
      <c r="K88" s="74"/>
      <c r="L88" s="74"/>
    </row>
    <row r="89" spans="2:12" ht="22.5" customHeight="1" hidden="1">
      <c r="B89" s="278" t="s">
        <v>60</v>
      </c>
      <c r="C89" s="279"/>
      <c r="D89" s="86">
        <v>0</v>
      </c>
      <c r="E89" s="56" t="s">
        <v>24</v>
      </c>
      <c r="F89" s="167"/>
      <c r="G89" s="275"/>
      <c r="H89" s="275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75"/>
      <c r="O90" s="275"/>
    </row>
    <row r="91" spans="4:15" ht="15">
      <c r="D91" s="83"/>
      <c r="I91" s="31"/>
      <c r="N91" s="280"/>
      <c r="O91" s="280"/>
    </row>
    <row r="92" spans="14:15" ht="15">
      <c r="N92" s="275"/>
      <c r="O92" s="275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2016-07-02T09:29:54Z</cp:lastPrinted>
  <dcterms:created xsi:type="dcterms:W3CDTF">2003-07-28T11:27:56Z</dcterms:created>
  <dcterms:modified xsi:type="dcterms:W3CDTF">2016-07-02T09:31:20Z</dcterms:modified>
  <cp:category/>
  <cp:version/>
  <cp:contentType/>
  <cp:contentStatus/>
</cp:coreProperties>
</file>